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<sst xmlns="http://schemas.openxmlformats.org/spreadsheetml/2006/main" count="3113" uniqueCount="2073">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</sst>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3540318</v>
      </c>
      <c r="J59" s="1120">
        <f>+IF(OR($P$2=98,$P$2=42,$P$2=96,$P$2=97),$Q59,0)</f>
        <v>442623</v>
      </c>
      <c r="K59" s="1095"/>
      <c r="L59" s="1120">
        <f>+IF($P$2=33,$Q59,0)</f>
        <v>0</v>
      </c>
      <c r="M59" s="1095"/>
      <c r="N59" s="1121">
        <f>+ROUND(+G59+J59+L59,0)</f>
        <v>442623</v>
      </c>
      <c r="O59" s="1097"/>
      <c r="P59" s="1119">
        <f>+ROUND(+OTCHET!E275+OTCHET!E276,0)</f>
        <v>3540318</v>
      </c>
      <c r="Q59" s="1120">
        <f>+ROUND(+OTCHET!L275+OTCHET!L276,0)</f>
        <v>442623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3540318</v>
      </c>
      <c r="J63" s="1208">
        <f>+ROUND(+SUM(J58:J61),0)</f>
        <v>442623</v>
      </c>
      <c r="K63" s="1095"/>
      <c r="L63" s="1208">
        <f>+ROUND(+SUM(L58:L61),0)</f>
        <v>0</v>
      </c>
      <c r="M63" s="1095"/>
      <c r="N63" s="1209">
        <f>+ROUND(+SUM(N58:N61),0)</f>
        <v>442623</v>
      </c>
      <c r="O63" s="1097"/>
      <c r="P63" s="1207">
        <f>+ROUND(+SUM(P58:P61),0)</f>
        <v>3540318</v>
      </c>
      <c r="Q63" s="1208">
        <f>+ROUND(+SUM(Q58:Q61),0)</f>
        <v>442623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3540318</v>
      </c>
      <c r="J77" s="1233">
        <f>+ROUND(J56+J63+J67+J71+J75,0)</f>
        <v>442623</v>
      </c>
      <c r="K77" s="1095"/>
      <c r="L77" s="1233">
        <f>+ROUND(L56+L63+L67+L71+L75,0)</f>
        <v>0</v>
      </c>
      <c r="M77" s="1095"/>
      <c r="N77" s="1234">
        <f>+ROUND(N56+N63+N67+N71+N75,0)</f>
        <v>442623</v>
      </c>
      <c r="O77" s="1097"/>
      <c r="P77" s="1231">
        <f>+ROUND(P56+P63+P67+P71+P75,0)</f>
        <v>3540318</v>
      </c>
      <c r="Q77" s="1232">
        <f>+ROUND(Q56+Q63+Q67+Q71+Q75,0)</f>
        <v>442623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3511116</v>
      </c>
      <c r="J79" s="1108">
        <f>+IF(OR($P$2=98,$P$2=42,$P$2=96,$P$2=97),$Q79,0)</f>
        <v>1044765</v>
      </c>
      <c r="K79" s="1095"/>
      <c r="L79" s="1108">
        <f>+IF($P$2=33,$Q79,0)</f>
        <v>0</v>
      </c>
      <c r="M79" s="1095"/>
      <c r="N79" s="1109">
        <f>+ROUND(+G79+J79+L79,0)</f>
        <v>1044765</v>
      </c>
      <c r="O79" s="1097"/>
      <c r="P79" s="1107">
        <f>+ROUND(OTCHET!E419,0)</f>
        <v>3511116</v>
      </c>
      <c r="Q79" s="1108">
        <f>+ROUND(OTCHET!L419,0)</f>
        <v>1044765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3511116</v>
      </c>
      <c r="J81" s="1242">
        <f>+ROUND(J79+J80,0)</f>
        <v>1044765</v>
      </c>
      <c r="K81" s="1095"/>
      <c r="L81" s="1242">
        <f>+ROUND(L79+L80,0)</f>
        <v>0</v>
      </c>
      <c r="M81" s="1095"/>
      <c r="N81" s="1243">
        <f>+ROUND(N79+N80,0)</f>
        <v>1044765</v>
      </c>
      <c r="O81" s="1097"/>
      <c r="P81" s="1241">
        <f>+ROUND(P79+P80,0)</f>
        <v>3511116</v>
      </c>
      <c r="Q81" s="1242">
        <f>+ROUND(Q79+Q80,0)</f>
        <v>1044765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602142</v>
      </c>
      <c r="K83" s="1095"/>
      <c r="L83" s="1255">
        <f>+ROUND(L48,0)-ROUND(L77,0)+ROUND(L81,0)</f>
        <v>0</v>
      </c>
      <c r="M83" s="1095"/>
      <c r="N83" s="1256">
        <f>+ROUND(N48,0)-ROUND(N77,0)+ROUND(N81,0)</f>
        <v>602142</v>
      </c>
      <c r="O83" s="1257"/>
      <c r="P83" s="1254">
        <f>+ROUND(P48,0)-ROUND(P77,0)+ROUND(P81,0)</f>
        <v>-29202</v>
      </c>
      <c r="Q83" s="1255">
        <f>+ROUND(Q48,0)-ROUND(Q77,0)+ROUND(Q81,0)</f>
        <v>602142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-602142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-602142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-602142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631344</v>
      </c>
      <c r="K131" s="1095"/>
      <c r="L131" s="1120">
        <f>+IF($P$2=33,$Q131,0)</f>
        <v>0</v>
      </c>
      <c r="M131" s="1095"/>
      <c r="N131" s="1121">
        <f>+ROUND(+G131+J131+L131,0)</f>
        <v>631344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631344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602142</v>
      </c>
      <c r="K132" s="1095"/>
      <c r="L132" s="1295">
        <f>+ROUND(+L131-L129-L130,0)</f>
        <v>0</v>
      </c>
      <c r="M132" s="1095"/>
      <c r="N132" s="1296">
        <f>+ROUND(+N131-N129-N130,0)</f>
        <v>602142</v>
      </c>
      <c r="O132" s="1097"/>
      <c r="P132" s="1294">
        <f>+ROUND(+P131-P129-P130,0)</f>
        <v>-29202</v>
      </c>
      <c r="Q132" s="1295">
        <f>+ROUND(+Q131-Q129-Q130,0)</f>
        <v>602142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3540318</v>
      </c>
      <c r="F38" s="847">
        <f>F39+F43+F44+F46+SUM(F48:F52)+F55</f>
        <v>442623</v>
      </c>
      <c r="G38" s="848">
        <f>G39+G43+G44+G46+SUM(G48:G52)+G55</f>
        <v>0</v>
      </c>
      <c r="H38" s="849">
        <f>H39+H43+H44+H46+SUM(H48:H52)+H55</f>
        <v>442623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3540318</v>
      </c>
      <c r="F49" s="815">
        <f t="shared" si="1"/>
        <v>442623</v>
      </c>
      <c r="G49" s="816">
        <f>OTCHET!I275+OTCHET!I276+OTCHET!I284+OTCHET!I287</f>
        <v>0</v>
      </c>
      <c r="H49" s="817">
        <f>OTCHET!J275+OTCHET!J276+OTCHET!J284+OTCHET!J287</f>
        <v>442623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3511116</v>
      </c>
      <c r="F56" s="892">
        <f>+F57+F58+F62</f>
        <v>1044765</v>
      </c>
      <c r="G56" s="893">
        <f>+G57+G58+G62</f>
        <v>0</v>
      </c>
      <c r="H56" s="894">
        <f>+H57+H58+H62</f>
        <v>1044765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3511116</v>
      </c>
      <c r="F58" s="901">
        <f t="shared" si="2"/>
        <v>1044765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1044765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602142</v>
      </c>
      <c r="G64" s="928">
        <f>+G22-G38+G56-G63</f>
        <v>0</v>
      </c>
      <c r="H64" s="929">
        <f>+H22-H38+H56-H63</f>
        <v>602142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-602142</v>
      </c>
      <c r="G66" s="938">
        <f>SUM(+G68+G76+G77+G84+G85+G86+G89+G90+G91+G92+G93+G94+G95)</f>
        <v>0</v>
      </c>
      <c r="H66" s="939">
        <f>SUM(+H68+H76+H77+H84+H85+H86+H89+H90+H91+H92+H93+H94+H95)</f>
        <v>-602142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-631344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-631344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1962</v>
      </c>
      <c r="C9" s="1825"/>
      <c r="D9" s="1826"/>
      <c r="E9" s="115">
        <v>43466</v>
      </c>
      <c r="F9" s="116">
        <v>43646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965</v>
      </c>
      <c r="F12" s="1586" t="s">
        <v>1628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3424076</v>
      </c>
      <c r="F275" s="274">
        <f t="shared" si="68"/>
        <v>0</v>
      </c>
      <c r="G275" s="275">
        <f t="shared" si="68"/>
        <v>3424076</v>
      </c>
      <c r="H275" s="276">
        <f t="shared" si="68"/>
        <v>0</v>
      </c>
      <c r="I275" s="274">
        <f t="shared" si="68"/>
        <v>0</v>
      </c>
      <c r="J275" s="275">
        <f t="shared" si="68"/>
        <v>442623</v>
      </c>
      <c r="K275" s="276">
        <f t="shared" si="68"/>
        <v>0</v>
      </c>
      <c r="L275" s="310">
        <f t="shared" si="68"/>
        <v>442623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3540318</v>
      </c>
      <c r="F301" s="396">
        <f t="shared" si="77"/>
        <v>116242</v>
      </c>
      <c r="G301" s="397">
        <f t="shared" si="77"/>
        <v>3424076</v>
      </c>
      <c r="H301" s="398">
        <f t="shared" si="77"/>
        <v>0</v>
      </c>
      <c r="I301" s="396">
        <f t="shared" si="77"/>
        <v>0</v>
      </c>
      <c r="J301" s="397">
        <f t="shared" si="77"/>
        <v>442623</v>
      </c>
      <c r="K301" s="398">
        <f t="shared" si="77"/>
        <v>0</v>
      </c>
      <c r="L301" s="395">
        <f t="shared" si="77"/>
        <v>442623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178968</v>
      </c>
      <c r="F396" s="459">
        <f t="shared" si="88"/>
        <v>0</v>
      </c>
      <c r="G396" s="473">
        <f t="shared" si="88"/>
        <v>178968</v>
      </c>
      <c r="H396" s="445">
        <f>SUM(H397:H398)</f>
        <v>0</v>
      </c>
      <c r="I396" s="459">
        <f t="shared" si="88"/>
        <v>0</v>
      </c>
      <c r="J396" s="444">
        <f t="shared" si="88"/>
        <v>179781</v>
      </c>
      <c r="K396" s="445">
        <f>SUM(K397:K398)</f>
        <v>0</v>
      </c>
      <c r="L396" s="1378">
        <f t="shared" si="88"/>
        <v>179781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178968</v>
      </c>
      <c r="F397" s="152"/>
      <c r="G397" s="153">
        <v>178968</v>
      </c>
      <c r="H397" s="154">
        <v>0</v>
      </c>
      <c r="I397" s="152"/>
      <c r="J397" s="153">
        <v>179781</v>
      </c>
      <c r="K397" s="154">
        <v>0</v>
      </c>
      <c r="L397" s="1379">
        <f>I397+J397+K397</f>
        <v>179781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3332148</v>
      </c>
      <c r="F399" s="459">
        <f t="shared" si="89"/>
        <v>116242</v>
      </c>
      <c r="G399" s="473">
        <f t="shared" si="89"/>
        <v>3215906</v>
      </c>
      <c r="H399" s="445">
        <f>SUM(H400:H401)</f>
        <v>0</v>
      </c>
      <c r="I399" s="459">
        <f t="shared" si="89"/>
        <v>0</v>
      </c>
      <c r="J399" s="444">
        <f t="shared" si="89"/>
        <v>864984</v>
      </c>
      <c r="K399" s="445">
        <f>SUM(K400:K401)</f>
        <v>0</v>
      </c>
      <c r="L399" s="1378">
        <f t="shared" si="89"/>
        <v>864984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3332148</v>
      </c>
      <c r="F400" s="158">
        <v>116242</v>
      </c>
      <c r="G400" s="159">
        <v>3215906</v>
      </c>
      <c r="H400" s="154">
        <v>0</v>
      </c>
      <c r="I400" s="158">
        <v>0</v>
      </c>
      <c r="J400" s="159">
        <v>864984</v>
      </c>
      <c r="K400" s="154">
        <v>0</v>
      </c>
      <c r="L400" s="1379">
        <f>I400+J400+K400</f>
        <v>864984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3511116</v>
      </c>
      <c r="F419" s="495">
        <f t="shared" si="95"/>
        <v>116242</v>
      </c>
      <c r="G419" s="496">
        <f t="shared" si="95"/>
        <v>3394874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1044765</v>
      </c>
      <c r="K419" s="515">
        <f>SUM(K361,K375,K383,K388,K391,K396,K399,K402,K405,K406,K409,K412)</f>
        <v>0</v>
      </c>
      <c r="L419" s="512">
        <f t="shared" si="95"/>
        <v>1044765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602142</v>
      </c>
      <c r="K445" s="548">
        <f t="shared" si="99"/>
        <v>0</v>
      </c>
      <c r="L445" s="549">
        <f t="shared" si="99"/>
        <v>602142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-602142</v>
      </c>
      <c r="K446" s="555">
        <f t="shared" si="100"/>
        <v>0</v>
      </c>
      <c r="L446" s="556">
        <f>+L597</f>
        <v>-602142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-602142</v>
      </c>
      <c r="K566" s="581">
        <f t="shared" si="128"/>
        <v>0</v>
      </c>
      <c r="L566" s="578">
        <f t="shared" si="128"/>
        <v>-602142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-631344</v>
      </c>
      <c r="K573" s="1627">
        <v>0</v>
      </c>
      <c r="L573" s="1393">
        <f t="shared" si="129"/>
        <v>-631344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-602142</v>
      </c>
      <c r="K597" s="666">
        <f t="shared" si="133"/>
        <v>0</v>
      </c>
      <c r="L597" s="662">
        <f t="shared" si="133"/>
        <v>-602142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Симеоновград</v>
      </c>
      <c r="C623" s="1784"/>
      <c r="D623" s="1785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Симеоновград</v>
      </c>
      <c r="C626" s="1843"/>
      <c r="D626" s="1844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1274113</v>
      </c>
      <c r="F725" s="1422">
        <v>0</v>
      </c>
      <c r="G725" s="1423">
        <v>1274113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1274113</v>
      </c>
      <c r="F752" s="396">
        <f t="shared" si="169"/>
        <v>0</v>
      </c>
      <c r="G752" s="397">
        <f t="shared" si="169"/>
        <v>1274113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3" t="str">
        <f>$B$9</f>
        <v>Симеоновград</v>
      </c>
      <c r="C761" s="1784"/>
      <c r="D761" s="1785"/>
      <c r="E761" s="115">
        <f>$E$9</f>
        <v>43466</v>
      </c>
      <c r="F761" s="226">
        <f>$F$9</f>
        <v>43646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2" t="str">
        <f>$B$12</f>
        <v>Симеоновград</v>
      </c>
      <c r="C764" s="1843"/>
      <c r="D764" s="1844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827" t="s">
        <v>2051</v>
      </c>
      <c r="F768" s="1828"/>
      <c r="G768" s="1828"/>
      <c r="H768" s="1829"/>
      <c r="I768" s="1836" t="s">
        <v>2052</v>
      </c>
      <c r="J768" s="1837"/>
      <c r="K768" s="1837"/>
      <c r="L768" s="183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3322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3322</v>
      </c>
      <c r="D773" s="1452" t="s">
        <v>2005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6" t="s">
        <v>746</v>
      </c>
      <c r="D775" s="181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 aca="true" t="shared" si="199" ref="E864:L864">SUM(E865:E871)</f>
        <v>116242</v>
      </c>
      <c r="F864" s="274">
        <f t="shared" si="199"/>
        <v>116242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 t="shared" si="201"/>
        <v>0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116242</v>
      </c>
      <c r="F890" s="396">
        <f t="shared" si="205"/>
        <v>116242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91" t="str">
        <f>$B$7</f>
        <v>ОТЧЕТНИ ДАННИ ПО ЕБК ЗА СМЕТКИТЕ ЗА СРЕДСТВАТА ОТ ЕВРОПЕЙСКИЯ СЪЮЗ - РА</v>
      </c>
      <c r="C897" s="1792"/>
      <c r="D897" s="179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3" t="str">
        <f>$B$9</f>
        <v>Симеоновград</v>
      </c>
      <c r="C899" s="1784"/>
      <c r="D899" s="1785"/>
      <c r="E899" s="115">
        <f>$E$9</f>
        <v>43466</v>
      </c>
      <c r="F899" s="226">
        <f>$F$9</f>
        <v>43646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2" t="str">
        <f>$B$12</f>
        <v>Симеоновград</v>
      </c>
      <c r="C902" s="1843"/>
      <c r="D902" s="1844"/>
      <c r="E902" s="410" t="s">
        <v>892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893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714</v>
      </c>
      <c r="E906" s="1827" t="s">
        <v>2051</v>
      </c>
      <c r="F906" s="1828"/>
      <c r="G906" s="1828"/>
      <c r="H906" s="1829"/>
      <c r="I906" s="1836" t="s">
        <v>2052</v>
      </c>
      <c r="J906" s="1837"/>
      <c r="K906" s="1837"/>
      <c r="L906" s="183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6606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6606</v>
      </c>
      <c r="D911" s="1452" t="s">
        <v>589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816" t="s">
        <v>746</v>
      </c>
      <c r="D913" s="181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812" t="s">
        <v>749</v>
      </c>
      <c r="D916" s="181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814" t="s">
        <v>194</v>
      </c>
      <c r="D922" s="181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912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873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875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810" t="s">
        <v>199</v>
      </c>
      <c r="D930" s="1811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812" t="s">
        <v>200</v>
      </c>
      <c r="D931" s="1813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876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803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806" t="s">
        <v>272</v>
      </c>
      <c r="D949" s="1807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806" t="s">
        <v>724</v>
      </c>
      <c r="D953" s="1807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806" t="s">
        <v>219</v>
      </c>
      <c r="D959" s="1807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806" t="s">
        <v>221</v>
      </c>
      <c r="D962" s="1807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808" t="s">
        <v>222</v>
      </c>
      <c r="D963" s="1809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808" t="s">
        <v>223</v>
      </c>
      <c r="D964" s="1809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808" t="s">
        <v>1664</v>
      </c>
      <c r="D965" s="1809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806" t="s">
        <v>224</v>
      </c>
      <c r="D966" s="1807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717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1661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806" t="s">
        <v>234</v>
      </c>
      <c r="D981" s="1807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806" t="s">
        <v>235</v>
      </c>
      <c r="D982" s="1807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806" t="s">
        <v>236</v>
      </c>
      <c r="D983" s="1807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806" t="s">
        <v>237</v>
      </c>
      <c r="D984" s="1807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806" t="s">
        <v>1665</v>
      </c>
      <c r="D991" s="1807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806" t="s">
        <v>1662</v>
      </c>
      <c r="D995" s="1807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806" t="s">
        <v>1663</v>
      </c>
      <c r="D996" s="1807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808" t="s">
        <v>247</v>
      </c>
      <c r="D997" s="1809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806" t="s">
        <v>273</v>
      </c>
      <c r="D998" s="1807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804" t="s">
        <v>248</v>
      </c>
      <c r="D1001" s="1805"/>
      <c r="E1001" s="310">
        <f>F1001+G1001+H1001</f>
        <v>2149963</v>
      </c>
      <c r="F1001" s="1422">
        <v>0</v>
      </c>
      <c r="G1001" s="1423">
        <v>2149963</v>
      </c>
      <c r="H1001" s="1424"/>
      <c r="I1001" s="1422">
        <v>0</v>
      </c>
      <c r="J1001" s="1423">
        <v>442623</v>
      </c>
      <c r="K1001" s="1424"/>
      <c r="L1001" s="310">
        <f>I1001+J1001+K1001</f>
        <v>442623</v>
      </c>
      <c r="M1001" s="12">
        <f t="shared" si="227"/>
        <v>1</v>
      </c>
      <c r="N1001" s="13"/>
    </row>
    <row r="1002" spans="2:14" ht="15.75">
      <c r="B1002" s="365">
        <v>5200</v>
      </c>
      <c r="C1002" s="1804" t="s">
        <v>249</v>
      </c>
      <c r="D1002" s="1805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804" t="s">
        <v>625</v>
      </c>
      <c r="D1010" s="1805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804" t="s">
        <v>687</v>
      </c>
      <c r="D1013" s="180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806" t="s">
        <v>688</v>
      </c>
      <c r="D1014" s="1807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9" t="s">
        <v>917</v>
      </c>
      <c r="D1019" s="1800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801" t="s">
        <v>696</v>
      </c>
      <c r="D1023" s="180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801" t="s">
        <v>696</v>
      </c>
      <c r="D1024" s="180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2149963</v>
      </c>
      <c r="F1028" s="396">
        <f t="shared" si="241"/>
        <v>0</v>
      </c>
      <c r="G1028" s="397">
        <f t="shared" si="241"/>
        <v>2149963</v>
      </c>
      <c r="H1028" s="398">
        <f t="shared" si="241"/>
        <v>0</v>
      </c>
      <c r="I1028" s="396">
        <f t="shared" si="241"/>
        <v>0</v>
      </c>
      <c r="J1028" s="397">
        <f t="shared" si="241"/>
        <v>442623</v>
      </c>
      <c r="K1028" s="398">
        <f t="shared" si="241"/>
        <v>0</v>
      </c>
      <c r="L1028" s="395">
        <f t="shared" si="241"/>
        <v>442623</v>
      </c>
      <c r="M1028" s="12">
        <f t="shared" si="238"/>
        <v>1</v>
      </c>
      <c r="N1028" s="73" t="str">
        <f>LEFT(C910,1)</f>
        <v>6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2019-07-12T11:17:54Z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